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inenergia.sharepoint.com/sites/UFT-UnidadFranjasdeTransmision/Documentos compartidos/UFT/2. EDF/1. EDF ENTRE RIOS - NUEVA PICHIRROPULLI/1. DOCUMENTOS/7. INFORMES/2. EAE/COMPLEMENTARIO/APENDICE_1/AT6-CAPEX/Franja Prefetente/"/>
    </mc:Choice>
  </mc:AlternateContent>
  <xr:revisionPtr revIDLastSave="322" documentId="14_{67781957-B692-43FB-B0F3-B6029F015AA0}" xr6:coauthVersionLast="47" xr6:coauthVersionMax="47" xr10:uidLastSave="{B0859243-D495-4284-ADB9-65E606AD575F}"/>
  <bookViews>
    <workbookView xWindow="-110" yWindow="-110" windowWidth="19420" windowHeight="10300" activeTab="1" xr2:uid="{5FF8B143-B3B1-49A2-931D-9797DC5DC05F}"/>
  </bookViews>
  <sheets>
    <sheet name="Resumen" sheetId="1" r:id="rId1"/>
    <sheet name="Costo construcción" sheetId="3" r:id="rId2"/>
    <sheet name="Costo Indem. Servidumbre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3" i="1"/>
  <c r="D18" i="2"/>
  <c r="E18" i="2"/>
  <c r="D17" i="2"/>
  <c r="C5" i="1"/>
  <c r="C6" i="1"/>
  <c r="C4" i="1"/>
  <c r="C3" i="1"/>
  <c r="B8" i="1"/>
  <c r="H16" i="3"/>
  <c r="H17" i="3"/>
  <c r="H18" i="3" s="1"/>
  <c r="H19" i="3" s="1"/>
  <c r="H7" i="3"/>
  <c r="H8" i="3"/>
  <c r="H9" i="3" s="1"/>
  <c r="H10" i="3" s="1"/>
  <c r="H11" i="3" s="1"/>
  <c r="H12" i="3" s="1"/>
  <c r="H13" i="3" s="1"/>
  <c r="G7" i="3"/>
  <c r="G8" i="3" s="1"/>
  <c r="G9" i="3" s="1"/>
  <c r="G10" i="3" s="1"/>
  <c r="G11" i="3" s="1"/>
  <c r="G12" i="3" s="1"/>
  <c r="G13" i="3" s="1"/>
  <c r="G16" i="3" s="1"/>
  <c r="G17" i="3" s="1"/>
  <c r="G18" i="3" s="1"/>
  <c r="G19" i="3" s="1"/>
  <c r="B23" i="3"/>
  <c r="D38" i="3"/>
  <c r="D49" i="3"/>
  <c r="F49" i="3" l="1"/>
  <c r="E49" i="3"/>
  <c r="B49" i="3"/>
  <c r="B25" i="3"/>
  <c r="F25" i="3" s="1"/>
  <c r="I25" i="3" s="1"/>
  <c r="B24" i="3"/>
  <c r="F24" i="3" s="1"/>
  <c r="I24" i="3" s="1"/>
  <c r="F23" i="3"/>
  <c r="I23" i="3" s="1"/>
  <c r="B19" i="3"/>
  <c r="F19" i="3" s="1"/>
  <c r="I19" i="3" s="1"/>
  <c r="B18" i="3"/>
  <c r="F18" i="3" s="1"/>
  <c r="I18" i="3" s="1"/>
  <c r="B17" i="3"/>
  <c r="F17" i="3" s="1"/>
  <c r="I17" i="3" s="1"/>
  <c r="B16" i="3"/>
  <c r="B13" i="3"/>
  <c r="F13" i="3" s="1"/>
  <c r="I13" i="3" s="1"/>
  <c r="F12" i="3"/>
  <c r="I12" i="3" s="1"/>
  <c r="B11" i="3"/>
  <c r="F11" i="3" s="1"/>
  <c r="I11" i="3" s="1"/>
  <c r="B10" i="3"/>
  <c r="F10" i="3" s="1"/>
  <c r="I10" i="3" s="1"/>
  <c r="B9" i="3"/>
  <c r="F9" i="3" s="1"/>
  <c r="I9" i="3" s="1"/>
  <c r="B8" i="3"/>
  <c r="F8" i="3" s="1"/>
  <c r="I8" i="3" s="1"/>
  <c r="B7" i="3"/>
  <c r="F7" i="3" s="1"/>
  <c r="I7" i="3" s="1"/>
  <c r="B6" i="3"/>
  <c r="F6" i="3" s="1"/>
  <c r="I6" i="3" s="1"/>
  <c r="I26" i="3" l="1"/>
  <c r="I32" i="3" s="1"/>
  <c r="I14" i="3"/>
  <c r="E26" i="3"/>
  <c r="E14" i="3"/>
  <c r="E27" i="3" s="1"/>
  <c r="E20" i="3"/>
  <c r="F14" i="3"/>
  <c r="F26" i="3"/>
  <c r="B14" i="3"/>
  <c r="B31" i="3"/>
  <c r="B32" i="3"/>
  <c r="B30" i="3"/>
  <c r="B20" i="3"/>
  <c r="F16" i="3"/>
  <c r="B26" i="3"/>
  <c r="I27" i="3" l="1"/>
  <c r="I28" i="3" s="1"/>
  <c r="I30" i="3"/>
  <c r="F20" i="3"/>
  <c r="F27" i="3" s="1"/>
  <c r="F28" i="3" s="1"/>
  <c r="I16" i="3"/>
  <c r="I20" i="3" s="1"/>
  <c r="B37" i="3"/>
  <c r="B36" i="3"/>
  <c r="B21" i="3"/>
  <c r="C21" i="3" s="1"/>
  <c r="B33" i="3"/>
  <c r="B35" i="3" s="1"/>
  <c r="B27" i="3"/>
  <c r="F21" i="3" l="1"/>
  <c r="I31" i="3"/>
  <c r="I33" i="3" s="1"/>
  <c r="I21" i="3"/>
  <c r="E38" i="3"/>
  <c r="B28" i="3"/>
  <c r="C12" i="3"/>
  <c r="C25" i="3"/>
  <c r="C7" i="3"/>
  <c r="C11" i="3"/>
  <c r="C17" i="3"/>
  <c r="C24" i="3"/>
  <c r="C19" i="3"/>
  <c r="C8" i="3"/>
  <c r="C6" i="3"/>
  <c r="C18" i="3"/>
  <c r="C23" i="3"/>
  <c r="C13" i="3"/>
  <c r="C10" i="3"/>
  <c r="C16" i="3"/>
  <c r="C9" i="3"/>
  <c r="C26" i="3"/>
  <c r="C20" i="3"/>
  <c r="C14" i="3"/>
  <c r="D26" i="3" l="1"/>
  <c r="D32" i="3" s="1"/>
  <c r="D14" i="3"/>
  <c r="D20" i="3"/>
  <c r="C27" i="3"/>
  <c r="D21" i="3" l="1"/>
  <c r="D31" i="3"/>
  <c r="D27" i="3"/>
  <c r="D28" i="3" s="1"/>
  <c r="D30" i="3"/>
  <c r="G18" i="2"/>
  <c r="H18" i="2" s="1"/>
  <c r="C18" i="2"/>
  <c r="E17" i="2"/>
  <c r="G17" i="2" s="1"/>
  <c r="H17" i="2" s="1"/>
  <c r="C17" i="2"/>
  <c r="E16" i="2"/>
  <c r="G16" i="2" s="1"/>
  <c r="H16" i="2" s="1"/>
  <c r="C16" i="2"/>
  <c r="E15" i="2"/>
  <c r="G15" i="2" s="1"/>
  <c r="H15" i="2" s="1"/>
  <c r="C15" i="2"/>
  <c r="E14" i="2"/>
  <c r="G14" i="2" s="1"/>
  <c r="H14" i="2" s="1"/>
  <c r="C14" i="2"/>
  <c r="E13" i="2"/>
  <c r="G13" i="2" s="1"/>
  <c r="H13" i="2" s="1"/>
  <c r="C13" i="2"/>
  <c r="E12" i="2"/>
  <c r="G12" i="2" s="1"/>
  <c r="H12" i="2" s="1"/>
  <c r="C12" i="2"/>
  <c r="E11" i="2"/>
  <c r="C11" i="2"/>
  <c r="I12" i="2" l="1"/>
  <c r="I14" i="2"/>
  <c r="D19" i="2"/>
  <c r="D33" i="3"/>
  <c r="D39" i="3" s="1"/>
  <c r="I18" i="2"/>
  <c r="I19" i="2" s="1"/>
  <c r="I16" i="2"/>
  <c r="E19" i="2"/>
  <c r="I13" i="2"/>
  <c r="I15" i="2"/>
  <c r="I17" i="2"/>
  <c r="G11" i="2"/>
  <c r="I20" i="2" l="1"/>
  <c r="C7" i="1" s="1"/>
  <c r="I21" i="2"/>
  <c r="G19" i="2"/>
  <c r="H11" i="2"/>
  <c r="I11" i="2" l="1"/>
  <c r="H19" i="2"/>
  <c r="B19" i="2" l="1"/>
  <c r="C19" i="2"/>
  <c r="E30" i="3"/>
  <c r="F30" i="3" s="1"/>
  <c r="E21" i="3" l="1"/>
  <c r="E31" i="3"/>
  <c r="F31" i="3" l="1"/>
  <c r="E28" i="3" l="1"/>
  <c r="E32" i="3"/>
  <c r="E33" i="3" s="1"/>
  <c r="F32" i="3" l="1"/>
  <c r="F33" i="3" s="1"/>
  <c r="E39" i="3"/>
  <c r="E50" i="3"/>
  <c r="F35" i="3"/>
  <c r="F36" i="3"/>
  <c r="I36" i="3" s="1"/>
  <c r="F37" i="3"/>
  <c r="I37" i="3" s="1"/>
  <c r="B38" i="3"/>
  <c r="B50" i="3" s="1"/>
  <c r="B39" i="3"/>
  <c r="C38" i="3" l="1"/>
  <c r="C39" i="3"/>
  <c r="I35" i="3"/>
  <c r="I38" i="3" s="1"/>
  <c r="I39" i="3" s="1"/>
  <c r="C8" i="1" s="1"/>
  <c r="F38" i="3"/>
  <c r="F39" i="3" s="1"/>
  <c r="C30" i="3"/>
  <c r="C31" i="3"/>
  <c r="C32" i="3"/>
  <c r="F50" i="3" l="1"/>
  <c r="C33" i="3"/>
</calcChain>
</file>

<file path=xl/sharedStrings.xml><?xml version="1.0" encoding="utf-8"?>
<sst xmlns="http://schemas.openxmlformats.org/spreadsheetml/2006/main" count="91" uniqueCount="87">
  <si>
    <t>Ítem</t>
  </si>
  <si>
    <t>Costos Constructivos</t>
  </si>
  <si>
    <t>Costos Gestión Predial</t>
  </si>
  <si>
    <t>Costos Gestión Ambiental</t>
  </si>
  <si>
    <t>Costos Gestión Social</t>
  </si>
  <si>
    <t>Indemnización Servidumbre Eléctrica</t>
  </si>
  <si>
    <t>TOTAL</t>
  </si>
  <si>
    <t>Caminos</t>
  </si>
  <si>
    <t>Cursos de Agua</t>
  </si>
  <si>
    <t>LAT</t>
  </si>
  <si>
    <t>Línea férrea</t>
  </si>
  <si>
    <t>Total</t>
  </si>
  <si>
    <t>Entre Ríos – Río Malleco (trazado A)</t>
  </si>
  <si>
    <t>Estimación (CLP/m2)</t>
  </si>
  <si>
    <t>Estimación (CLP/ha)</t>
  </si>
  <si>
    <t>Longitud Serv (km)</t>
  </si>
  <si>
    <t>Longitud Serv (m)</t>
  </si>
  <si>
    <t>Ancho Serv (m)</t>
  </si>
  <si>
    <t>Superficie Serv (m2)</t>
  </si>
  <si>
    <t>Superficie Serv (ha)</t>
  </si>
  <si>
    <t>Valor Indemnización Serv (CLP)</t>
  </si>
  <si>
    <t>CLP</t>
  </si>
  <si>
    <t>USD</t>
  </si>
  <si>
    <t>UF</t>
  </si>
  <si>
    <t>Trazado B</t>
  </si>
  <si>
    <t>N° tramo</t>
  </si>
  <si>
    <t>RESUMEN DE LOS COSTOS DE INVERSIÓN - CLASE 4 - PRESUPUESTO BASE</t>
  </si>
  <si>
    <t>PARTIDAS</t>
  </si>
  <si>
    <t>Costo/Partida (USD)</t>
  </si>
  <si>
    <t>Peso      (%)</t>
  </si>
  <si>
    <t>Variaciones de Diseño (%)</t>
  </si>
  <si>
    <t>Contingencias (%)</t>
  </si>
  <si>
    <t>Costo Total    (USD)</t>
  </si>
  <si>
    <t>COSTOS DIRECTOS</t>
  </si>
  <si>
    <t>Servicios Topograficos</t>
  </si>
  <si>
    <t>Franja de Servidumbre</t>
  </si>
  <si>
    <t>Caminos y Accesos</t>
  </si>
  <si>
    <t>Fundaciones de Estructuras</t>
  </si>
  <si>
    <t>Montaje Estructuras</t>
  </si>
  <si>
    <t>Tendido de Condutores</t>
  </si>
  <si>
    <t>Apoyo Aereo a la Construccion Tramo 1A</t>
  </si>
  <si>
    <t>Revision Final y Puesta en Marcha</t>
  </si>
  <si>
    <t>SUB TOTAL - COSTOS DIRECTOS</t>
  </si>
  <si>
    <t>SUMINISTRO DE MATERIALES INCORPORADOS</t>
  </si>
  <si>
    <t>Estructuras Metálicas</t>
  </si>
  <si>
    <t>Conductor y Cables de guardia</t>
  </si>
  <si>
    <t>Cadenas Condutor y OPGW</t>
  </si>
  <si>
    <t>Ferreteria y Accesorios</t>
  </si>
  <si>
    <t>SUB TOTAL - SUMINISTROS</t>
  </si>
  <si>
    <t>TOTAL - COSTOS DIRECTOS</t>
  </si>
  <si>
    <t>COSTOS INDIRECTOS</t>
  </si>
  <si>
    <t>Administración de la Obra</t>
  </si>
  <si>
    <t>Ingenieria de Detalle</t>
  </si>
  <si>
    <t>Instalación de Faena &amp; Catering</t>
  </si>
  <si>
    <t>SUB TOTAL - COSTOS INDIRECTOS</t>
  </si>
  <si>
    <t>COSTO TOTAL - CONSTRUCCIÓN</t>
  </si>
  <si>
    <t>Costo por Kilometro de Línea Construido</t>
  </si>
  <si>
    <t>Costos Directos</t>
  </si>
  <si>
    <t>Materiales Incorporados</t>
  </si>
  <si>
    <t>Costos Indirectos</t>
  </si>
  <si>
    <t>Total - Costos de la Construcción</t>
  </si>
  <si>
    <t>COSTOS DE LA GERENCIA DEL PROYECTO</t>
  </si>
  <si>
    <t>Gerencia del Proyecto</t>
  </si>
  <si>
    <t>Gestión de Adquisición</t>
  </si>
  <si>
    <t>Inspección Técnica</t>
  </si>
  <si>
    <t>Total - Costos de la Gerencia del Proyecto</t>
  </si>
  <si>
    <t>COSTO TOTAL DE INVERSION</t>
  </si>
  <si>
    <t>Costos de Personal, Oficinas y otros;</t>
  </si>
  <si>
    <t>Costos de Adquisición de la Servidumbre;</t>
  </si>
  <si>
    <t>Costos de la Ingeniería Básica;</t>
  </si>
  <si>
    <t>Costos de los Estudios Ambientales;</t>
  </si>
  <si>
    <t>Costos de los Permisos &amp; Concesiones;</t>
  </si>
  <si>
    <t>Costos de Financiamiento;</t>
  </si>
  <si>
    <t>Costos de Operación (OPEX);</t>
  </si>
  <si>
    <t>Costos Intangibles.</t>
  </si>
  <si>
    <t>Total - Costos del Dueño</t>
  </si>
  <si>
    <t>Total - Costos Esperado del Proyecto</t>
  </si>
  <si>
    <t>(1) Costos del Dueño = A ser incoporado por Terceros.</t>
  </si>
  <si>
    <t>Km de línea Entre Ríos-Río Malleco</t>
  </si>
  <si>
    <t>Costo 
LT Entre Ríos - Río Malleco 
USD</t>
  </si>
  <si>
    <t>Costos del Dueño ¹</t>
  </si>
  <si>
    <t>COSTOS DE CONSTRUCCIÓN</t>
  </si>
  <si>
    <t>Km línea Entre Ríos-Digüeñes</t>
  </si>
  <si>
    <t>LT 2x500 kV Entre Rios - Río Malleco  Alternativa 2</t>
  </si>
  <si>
    <t>LT 2x500 kV Entre Rios - Digüeñes</t>
  </si>
  <si>
    <t>Costos
Entre Ríos - Digüeñes 
USD</t>
  </si>
  <si>
    <t>Costos directos de construcción e indemnización de servidumbre eléctrica según información de LT Entre Ríos - Río Malleco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</si>
</sst>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 &quot;$&quot;* #,##0_ ;_ &quot;$&quot;* \-#,##0_ ;_ &quot;$&quot;* &quot;-&quot;_ ;_ @_ "/>
    <numFmt numFmtId="41" formatCode="_ * #,##0_ ;_ * \-#,##0_ ;_ * &quot;-&quot;_ ;_ @_ "/>
    <numFmt numFmtId="43" formatCode="_ * #,##0.00_ ;_ * \-#,##0.00_ ;_ * &quot;-&quot;??_ ;_ @_ "/>
    <numFmt numFmtId="164" formatCode="0.000"/>
    <numFmt numFmtId="165" formatCode="#,##0_ ;\-#,##0\ "/>
    <numFmt numFmtId="166" formatCode="_(* #,##0.00_);_(* \(#,##0.00\);_(* &quot;-&quot;??_);_(@_)"/>
    <numFmt numFmtId="167" formatCode="0.0%"/>
    <numFmt numFmtId="168" formatCode="_(* #,##0_);_(* \(#,##0\);_(* &quot;-&quot;??_);_(@_)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name val="Arial"/>
      <family val="2"/>
    </font>
    <font>
      <b/>
      <sz val="10"/>
      <name val="Aptos Narrow"/>
      <family val="2"/>
    </font>
    <font>
      <sz val="10"/>
      <name val="Aptos Narrow"/>
      <family val="2"/>
    </font>
    <font>
      <b/>
      <sz val="10"/>
      <color theme="0"/>
      <name val="Aptos Narrow"/>
      <family val="2"/>
    </font>
    <font>
      <sz val="10"/>
      <color theme="1"/>
      <name val="Aptos Narrow"/>
      <family val="2"/>
    </font>
    <font>
      <b/>
      <sz val="10"/>
      <name val="Aptos Narrow"/>
      <family val="2"/>
      <scheme val="minor"/>
    </font>
    <font>
      <sz val="1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</cellStyleXfs>
  <cellXfs count="82">
    <xf numFmtId="0" fontId="0" fillId="0" borderId="0" xfId="0"/>
    <xf numFmtId="1" fontId="2" fillId="0" borderId="0" xfId="0" applyNumberFormat="1" applyFont="1"/>
    <xf numFmtId="164" fontId="2" fillId="0" borderId="0" xfId="0" applyNumberFormat="1" applyFont="1"/>
    <xf numFmtId="0" fontId="2" fillId="0" borderId="0" xfId="0" applyFont="1"/>
    <xf numFmtId="1" fontId="2" fillId="0" borderId="1" xfId="0" applyNumberFormat="1" applyFont="1" applyBorder="1"/>
    <xf numFmtId="42" fontId="2" fillId="0" borderId="1" xfId="3" applyFont="1" applyBorder="1"/>
    <xf numFmtId="0" fontId="2" fillId="0" borderId="1" xfId="0" applyFont="1" applyBorder="1"/>
    <xf numFmtId="42" fontId="3" fillId="0" borderId="1" xfId="0" applyNumberFormat="1" applyFont="1" applyBorder="1"/>
    <xf numFmtId="0" fontId="6" fillId="0" borderId="0" xfId="5" applyFont="1"/>
    <xf numFmtId="0" fontId="6" fillId="0" borderId="0" xfId="6" applyFont="1"/>
    <xf numFmtId="43" fontId="6" fillId="0" borderId="1" xfId="1" applyFont="1" applyFill="1" applyBorder="1"/>
    <xf numFmtId="10" fontId="6" fillId="0" borderId="1" xfId="4" applyNumberFormat="1" applyFont="1" applyFill="1" applyBorder="1" applyAlignment="1">
      <alignment horizontal="right" indent="1"/>
    </xf>
    <xf numFmtId="167" fontId="6" fillId="0" borderId="1" xfId="4" applyNumberFormat="1" applyFont="1" applyFill="1" applyBorder="1" applyAlignment="1">
      <alignment horizontal="right" indent="1"/>
    </xf>
    <xf numFmtId="0" fontId="7" fillId="2" borderId="4" xfId="6" applyFont="1" applyFill="1" applyBorder="1" applyAlignment="1">
      <alignment vertical="center"/>
    </xf>
    <xf numFmtId="0" fontId="5" fillId="0" borderId="1" xfId="6" applyFont="1" applyBorder="1" applyAlignment="1">
      <alignment horizontal="left" vertical="center" indent="1"/>
    </xf>
    <xf numFmtId="43" fontId="5" fillId="0" borderId="1" xfId="1" applyFont="1" applyFill="1" applyBorder="1"/>
    <xf numFmtId="43" fontId="5" fillId="0" borderId="1" xfId="1" applyFont="1" applyBorder="1"/>
    <xf numFmtId="167" fontId="5" fillId="0" borderId="1" xfId="4" applyNumberFormat="1" applyFont="1" applyFill="1" applyBorder="1"/>
    <xf numFmtId="166" fontId="5" fillId="0" borderId="1" xfId="4" applyNumberFormat="1" applyFont="1" applyFill="1" applyBorder="1"/>
    <xf numFmtId="167" fontId="6" fillId="0" borderId="1" xfId="4" applyNumberFormat="1" applyFont="1" applyFill="1" applyBorder="1"/>
    <xf numFmtId="166" fontId="5" fillId="3" borderId="1" xfId="6" applyNumberFormat="1" applyFont="1" applyFill="1" applyBorder="1"/>
    <xf numFmtId="167" fontId="5" fillId="3" borderId="1" xfId="4" applyNumberFormat="1" applyFont="1" applyFill="1" applyBorder="1"/>
    <xf numFmtId="43" fontId="7" fillId="2" borderId="1" xfId="1" applyFont="1" applyFill="1" applyBorder="1"/>
    <xf numFmtId="167" fontId="7" fillId="2" borderId="3" xfId="4" applyNumberFormat="1" applyFont="1" applyFill="1" applyBorder="1" applyAlignment="1">
      <alignment horizontal="right" vertical="center" indent="1"/>
    </xf>
    <xf numFmtId="43" fontId="7" fillId="2" borderId="5" xfId="1" applyFont="1" applyFill="1" applyBorder="1"/>
    <xf numFmtId="0" fontId="5" fillId="3" borderId="1" xfId="6" applyFont="1" applyFill="1" applyBorder="1" applyAlignment="1">
      <alignment horizontal="left" vertical="center"/>
    </xf>
    <xf numFmtId="166" fontId="5" fillId="4" borderId="1" xfId="6" applyNumberFormat="1" applyFont="1" applyFill="1" applyBorder="1"/>
    <xf numFmtId="0" fontId="5" fillId="0" borderId="0" xfId="5" applyFont="1"/>
    <xf numFmtId="166" fontId="6" fillId="0" borderId="0" xfId="6" applyNumberFormat="1" applyFont="1"/>
    <xf numFmtId="0" fontId="8" fillId="0" borderId="0" xfId="0" applyFont="1"/>
    <xf numFmtId="166" fontId="6" fillId="0" borderId="1" xfId="6" applyNumberFormat="1" applyFont="1" applyBorder="1"/>
    <xf numFmtId="0" fontId="6" fillId="0" borderId="1" xfId="6" applyFont="1" applyBorder="1" applyAlignment="1">
      <alignment horizontal="left" vertical="center" indent="1"/>
    </xf>
    <xf numFmtId="0" fontId="5" fillId="0" borderId="1" xfId="5" applyFont="1" applyBorder="1" applyAlignment="1">
      <alignment horizontal="left" vertical="center"/>
    </xf>
    <xf numFmtId="166" fontId="5" fillId="0" borderId="1" xfId="6" applyNumberFormat="1" applyFont="1" applyBorder="1"/>
    <xf numFmtId="167" fontId="5" fillId="0" borderId="1" xfId="4" applyNumberFormat="1" applyFont="1" applyFill="1" applyBorder="1" applyAlignment="1">
      <alignment horizontal="left" vertical="center" indent="1"/>
    </xf>
    <xf numFmtId="0" fontId="5" fillId="0" borderId="1" xfId="6" applyFont="1" applyBorder="1" applyAlignment="1">
      <alignment vertical="center"/>
    </xf>
    <xf numFmtId="167" fontId="5" fillId="0" borderId="1" xfId="4" applyNumberFormat="1" applyFont="1" applyFill="1" applyBorder="1" applyAlignment="1">
      <alignment horizontal="right" vertical="center" indent="1"/>
    </xf>
    <xf numFmtId="0" fontId="5" fillId="0" borderId="1" xfId="5" applyFont="1" applyBorder="1" applyAlignment="1">
      <alignment vertical="center"/>
    </xf>
    <xf numFmtId="0" fontId="5" fillId="0" borderId="1" xfId="6" applyFont="1" applyBorder="1" applyAlignment="1">
      <alignment horizontal="left" vertical="center"/>
    </xf>
    <xf numFmtId="0" fontId="6" fillId="0" borderId="1" xfId="6" applyFont="1" applyBorder="1" applyAlignment="1">
      <alignment horizontal="left" vertical="center"/>
    </xf>
    <xf numFmtId="167" fontId="6" fillId="0" borderId="1" xfId="4" applyNumberFormat="1" applyFont="1" applyFill="1" applyBorder="1" applyAlignment="1">
      <alignment horizontal="left" vertical="center" indent="1"/>
    </xf>
    <xf numFmtId="167" fontId="5" fillId="0" borderId="1" xfId="4" applyNumberFormat="1" applyFont="1" applyFill="1" applyBorder="1" applyAlignment="1">
      <alignment vertical="center"/>
    </xf>
    <xf numFmtId="0" fontId="5" fillId="5" borderId="1" xfId="6" applyFont="1" applyFill="1" applyBorder="1" applyAlignment="1">
      <alignment vertical="center"/>
    </xf>
    <xf numFmtId="43" fontId="5" fillId="5" borderId="1" xfId="1" applyFont="1" applyFill="1" applyBorder="1"/>
    <xf numFmtId="167" fontId="5" fillId="5" borderId="1" xfId="4" applyNumberFormat="1" applyFont="1" applyFill="1" applyBorder="1" applyAlignment="1">
      <alignment horizontal="right" vertical="center" indent="1"/>
    </xf>
    <xf numFmtId="0" fontId="5" fillId="5" borderId="1" xfId="5" applyFont="1" applyFill="1" applyBorder="1" applyAlignment="1">
      <alignment vertical="center"/>
    </xf>
    <xf numFmtId="166" fontId="5" fillId="5" borderId="1" xfId="5" applyNumberFormat="1" applyFont="1" applyFill="1" applyBorder="1" applyAlignment="1">
      <alignment vertical="center"/>
    </xf>
    <xf numFmtId="168" fontId="5" fillId="5" borderId="1" xfId="1" applyNumberFormat="1" applyFont="1" applyFill="1" applyBorder="1"/>
    <xf numFmtId="1" fontId="2" fillId="0" borderId="2" xfId="0" applyNumberFormat="1" applyFont="1" applyBorder="1"/>
    <xf numFmtId="1" fontId="9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/>
    <xf numFmtId="42" fontId="10" fillId="0" borderId="1" xfId="3" applyFont="1" applyFill="1" applyBorder="1"/>
    <xf numFmtId="2" fontId="10" fillId="0" borderId="1" xfId="0" applyNumberFormat="1" applyFont="1" applyBorder="1"/>
    <xf numFmtId="41" fontId="10" fillId="0" borderId="1" xfId="2" applyFont="1" applyFill="1" applyBorder="1"/>
    <xf numFmtId="0" fontId="10" fillId="0" borderId="1" xfId="0" applyFont="1" applyBorder="1"/>
    <xf numFmtId="16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/>
    </xf>
    <xf numFmtId="42" fontId="9" fillId="0" borderId="1" xfId="0" applyNumberFormat="1" applyFont="1" applyBorder="1"/>
    <xf numFmtId="2" fontId="9" fillId="0" borderId="1" xfId="0" applyNumberFormat="1" applyFont="1" applyBorder="1"/>
    <xf numFmtId="1" fontId="9" fillId="0" borderId="1" xfId="0" applyNumberFormat="1" applyFont="1" applyBorder="1"/>
    <xf numFmtId="2" fontId="9" fillId="0" borderId="4" xfId="0" applyNumberFormat="1" applyFont="1" applyBorder="1"/>
    <xf numFmtId="165" fontId="9" fillId="0" borderId="1" xfId="0" applyNumberFormat="1" applyFont="1" applyBorder="1"/>
    <xf numFmtId="4" fontId="2" fillId="0" borderId="1" xfId="0" applyNumberFormat="1" applyFont="1" applyBorder="1"/>
    <xf numFmtId="16" fontId="2" fillId="0" borderId="1" xfId="0" applyNumberFormat="1" applyFont="1" applyBorder="1"/>
    <xf numFmtId="0" fontId="3" fillId="0" borderId="0" xfId="0" applyFont="1" applyAlignment="1">
      <alignment horizontal="right"/>
    </xf>
    <xf numFmtId="167" fontId="6" fillId="0" borderId="1" xfId="4" applyNumberFormat="1" applyFont="1" applyFill="1" applyBorder="1" applyAlignment="1">
      <alignment horizontal="right" vertical="center" indent="1"/>
    </xf>
    <xf numFmtId="0" fontId="5" fillId="0" borderId="1" xfId="6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0" xfId="6" applyFont="1"/>
    <xf numFmtId="0" fontId="6" fillId="0" borderId="0" xfId="6" applyFont="1" applyAlignment="1">
      <alignment horizontal="center"/>
    </xf>
    <xf numFmtId="42" fontId="3" fillId="5" borderId="1" xfId="0" applyNumberFormat="1" applyFont="1" applyFill="1" applyBorder="1"/>
    <xf numFmtId="43" fontId="6" fillId="6" borderId="1" xfId="1" applyFont="1" applyFill="1" applyBorder="1"/>
    <xf numFmtId="166" fontId="5" fillId="7" borderId="1" xfId="6" applyNumberFormat="1" applyFont="1" applyFill="1" applyBorder="1"/>
    <xf numFmtId="42" fontId="2" fillId="7" borderId="1" xfId="3" applyFont="1" applyFill="1" applyBorder="1"/>
    <xf numFmtId="0" fontId="0" fillId="0" borderId="0" xfId="0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/>
    </xf>
    <xf numFmtId="0" fontId="5" fillId="0" borderId="4" xfId="6" applyFont="1" applyBorder="1" applyAlignment="1">
      <alignment horizontal="center" wrapText="1"/>
    </xf>
    <xf numFmtId="0" fontId="5" fillId="0" borderId="5" xfId="6" applyFont="1" applyBorder="1" applyAlignment="1">
      <alignment horizontal="center" wrapText="1"/>
    </xf>
    <xf numFmtId="2" fontId="2" fillId="0" borderId="0" xfId="0" applyNumberFormat="1" applyFont="1"/>
    <xf numFmtId="10" fontId="0" fillId="0" borderId="0" xfId="4" applyNumberFormat="1" applyFont="1"/>
  </cellXfs>
  <cellStyles count="7">
    <cellStyle name="Millares" xfId="1" builtinId="3"/>
    <cellStyle name="Millares [0]" xfId="2" builtinId="6"/>
    <cellStyle name="Moneda [0]" xfId="3" builtinId="7"/>
    <cellStyle name="Normal" xfId="0" builtinId="0"/>
    <cellStyle name="Normal 10 10" xfId="6" xr:uid="{5E260252-CB8E-40A5-99F3-5CC19B298BDF}"/>
    <cellStyle name="Normal 2" xfId="5" xr:uid="{97122113-0860-4CEC-AB37-7B389F6E682E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C0239-53C8-4674-9D83-5617214B12D9}">
  <dimension ref="A1:G8"/>
  <sheetViews>
    <sheetView showGridLines="0" workbookViewId="0">
      <selection activeCell="H1" sqref="H1"/>
    </sheetView>
  </sheetViews>
  <sheetFormatPr baseColWidth="10" defaultRowHeight="14.5" x14ac:dyDescent="0.35"/>
  <cols>
    <col min="1" max="1" width="34.1796875" bestFit="1" customWidth="1"/>
    <col min="2" max="3" width="17.36328125" customWidth="1"/>
    <col min="4" max="5" width="17.36328125" hidden="1" customWidth="1"/>
    <col min="6" max="6" width="4.36328125" customWidth="1"/>
    <col min="7" max="7" width="19" customWidth="1"/>
  </cols>
  <sheetData>
    <row r="1" spans="1:7" s="75" customFormat="1" ht="44.25" customHeight="1" x14ac:dyDescent="0.35">
      <c r="A1" s="76" t="s">
        <v>86</v>
      </c>
      <c r="B1" s="76"/>
      <c r="C1" s="76"/>
    </row>
    <row r="2" spans="1:7" ht="51" customHeight="1" x14ac:dyDescent="0.35">
      <c r="A2" s="49" t="s">
        <v>0</v>
      </c>
      <c r="B2" s="49" t="s">
        <v>79</v>
      </c>
      <c r="C2" s="49" t="s">
        <v>85</v>
      </c>
    </row>
    <row r="3" spans="1:7" x14ac:dyDescent="0.35">
      <c r="A3" s="4" t="s">
        <v>1</v>
      </c>
      <c r="B3" s="5">
        <v>85732851.375573367</v>
      </c>
      <c r="C3" s="74">
        <f>+'Costo construcción'!I39</f>
        <v>72958908.821936518</v>
      </c>
      <c r="G3" s="81">
        <f>C3/$C$8</f>
        <v>0.74842696676399478</v>
      </c>
    </row>
    <row r="4" spans="1:7" x14ac:dyDescent="0.35">
      <c r="A4" s="4" t="s">
        <v>2</v>
      </c>
      <c r="B4" s="5">
        <v>1010607</v>
      </c>
      <c r="C4" s="5">
        <f>B4</f>
        <v>1010607</v>
      </c>
      <c r="G4" s="81">
        <f t="shared" ref="G4:G7" si="0">C4/$C$8</f>
        <v>1.0367007179979156E-2</v>
      </c>
    </row>
    <row r="5" spans="1:7" x14ac:dyDescent="0.35">
      <c r="A5" s="4" t="s">
        <v>3</v>
      </c>
      <c r="B5" s="5">
        <v>986350</v>
      </c>
      <c r="C5" s="5">
        <f t="shared" ref="C5:C6" si="1">B5</f>
        <v>986350</v>
      </c>
      <c r="G5" s="81">
        <f t="shared" si="0"/>
        <v>1.0118174059720981E-2</v>
      </c>
    </row>
    <row r="6" spans="1:7" x14ac:dyDescent="0.35">
      <c r="A6" s="4" t="s">
        <v>4</v>
      </c>
      <c r="B6" s="5">
        <v>167300</v>
      </c>
      <c r="C6" s="5">
        <f t="shared" si="1"/>
        <v>167300</v>
      </c>
      <c r="G6" s="81">
        <f t="shared" si="0"/>
        <v>1.7161966038336492E-3</v>
      </c>
    </row>
    <row r="7" spans="1:7" x14ac:dyDescent="0.35">
      <c r="A7" s="4" t="s">
        <v>5</v>
      </c>
      <c r="B7" s="5">
        <v>26003508.091759205</v>
      </c>
      <c r="C7" s="74">
        <f>+'Costo Indem. Servidumbre'!I20</f>
        <v>22359837.947144691</v>
      </c>
      <c r="G7" s="81">
        <f t="shared" si="0"/>
        <v>0.22937165539247145</v>
      </c>
    </row>
    <row r="8" spans="1:7" x14ac:dyDescent="0.35">
      <c r="A8" s="7" t="s">
        <v>6</v>
      </c>
      <c r="B8" s="7">
        <f>+SUM(B3:B7)</f>
        <v>113900616.46733257</v>
      </c>
      <c r="C8" s="71">
        <f>SUM(C3:C7)</f>
        <v>97483003.769081205</v>
      </c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3D2BF-1F56-4D59-8B53-79D64840D3E6}">
  <dimension ref="A1:I52"/>
  <sheetViews>
    <sheetView showGridLines="0" tabSelected="1" workbookViewId="0">
      <selection activeCell="I39" sqref="I39"/>
    </sheetView>
  </sheetViews>
  <sheetFormatPr baseColWidth="10" defaultColWidth="11.453125" defaultRowHeight="13" x14ac:dyDescent="0.3"/>
  <cols>
    <col min="1" max="1" width="39.453125" style="29" customWidth="1"/>
    <col min="2" max="2" width="14" style="29" bestFit="1" customWidth="1"/>
    <col min="3" max="3" width="11.453125" style="29" bestFit="1" customWidth="1"/>
    <col min="4" max="4" width="0" style="29" hidden="1" customWidth="1"/>
    <col min="5" max="5" width="16" style="29" customWidth="1"/>
    <col min="6" max="6" width="14" style="29" bestFit="1" customWidth="1"/>
    <col min="7" max="7" width="14" style="29" hidden="1" customWidth="1"/>
    <col min="8" max="8" width="15.36328125" style="29" hidden="1" customWidth="1"/>
    <col min="9" max="9" width="15" style="29" customWidth="1"/>
    <col min="10" max="16384" width="11.453125" style="29"/>
  </cols>
  <sheetData>
    <row r="1" spans="1:9" x14ac:dyDescent="0.3">
      <c r="A1" s="27" t="s">
        <v>26</v>
      </c>
      <c r="B1" s="8"/>
      <c r="C1" s="8"/>
      <c r="D1" s="8"/>
      <c r="E1" s="8"/>
      <c r="H1" s="8"/>
    </row>
    <row r="2" spans="1:9" x14ac:dyDescent="0.3">
      <c r="A2" s="69"/>
      <c r="B2" s="9"/>
      <c r="C2" s="70"/>
      <c r="D2" s="70"/>
      <c r="E2" s="9"/>
      <c r="F2" s="9"/>
      <c r="G2" s="9"/>
      <c r="H2" s="9"/>
    </row>
    <row r="3" spans="1:9" ht="26" customHeight="1" x14ac:dyDescent="0.3">
      <c r="A3" s="69"/>
      <c r="B3" s="77" t="s">
        <v>83</v>
      </c>
      <c r="C3" s="77"/>
      <c r="D3" s="77"/>
      <c r="E3" s="77"/>
      <c r="F3" s="77"/>
      <c r="G3" s="77"/>
      <c r="H3" s="78" t="s">
        <v>84</v>
      </c>
      <c r="I3" s="79"/>
    </row>
    <row r="4" spans="1:9" ht="26" x14ac:dyDescent="0.3">
      <c r="A4" s="37" t="s">
        <v>27</v>
      </c>
      <c r="B4" s="67" t="s">
        <v>28</v>
      </c>
      <c r="C4" s="68" t="s">
        <v>29</v>
      </c>
      <c r="D4" s="68" t="s">
        <v>30</v>
      </c>
      <c r="E4" s="68" t="s">
        <v>31</v>
      </c>
      <c r="F4" s="68" t="s">
        <v>32</v>
      </c>
      <c r="G4" s="49" t="s">
        <v>78</v>
      </c>
      <c r="H4" s="49" t="s">
        <v>82</v>
      </c>
      <c r="I4" s="68" t="s">
        <v>32</v>
      </c>
    </row>
    <row r="5" spans="1:9" x14ac:dyDescent="0.3">
      <c r="A5" s="45" t="s">
        <v>33</v>
      </c>
      <c r="B5" s="46"/>
      <c r="C5" s="45"/>
      <c r="D5" s="45"/>
      <c r="E5" s="46"/>
      <c r="F5" s="45"/>
      <c r="G5" s="45"/>
      <c r="H5" s="45"/>
      <c r="I5" s="45"/>
    </row>
    <row r="6" spans="1:9" x14ac:dyDescent="0.3">
      <c r="A6" s="31" t="s">
        <v>34</v>
      </c>
      <c r="B6" s="10">
        <f>340657.612412074*0.82112</f>
        <v>279720.77870380221</v>
      </c>
      <c r="C6" s="66">
        <f t="shared" ref="C6:C14" si="0">+B6/$B$27</f>
        <v>4.2091907577431805E-3</v>
      </c>
      <c r="D6" s="11"/>
      <c r="E6" s="11">
        <v>0.05</v>
      </c>
      <c r="F6" s="10">
        <f t="shared" ref="F6:F13" si="1">+B6*(1+D6+E6)</f>
        <v>293706.81763899233</v>
      </c>
      <c r="G6" s="72">
        <v>111.12</v>
      </c>
      <c r="H6" s="72">
        <v>90</v>
      </c>
      <c r="I6" s="10">
        <f>+F6*H6/G6</f>
        <v>237883.49160825514</v>
      </c>
    </row>
    <row r="7" spans="1:9" x14ac:dyDescent="0.3">
      <c r="A7" s="31" t="s">
        <v>35</v>
      </c>
      <c r="B7" s="10">
        <f>391757.82257814*0.82112</f>
        <v>321680.1832753623</v>
      </c>
      <c r="C7" s="66">
        <f t="shared" si="0"/>
        <v>4.8405887494884997E-3</v>
      </c>
      <c r="D7" s="11"/>
      <c r="E7" s="11">
        <v>0.05</v>
      </c>
      <c r="F7" s="10">
        <f t="shared" si="1"/>
        <v>337764.19243913045</v>
      </c>
      <c r="G7" s="10">
        <f>+G6</f>
        <v>111.12</v>
      </c>
      <c r="H7" s="10">
        <f>+H6</f>
        <v>90</v>
      </c>
      <c r="I7" s="10">
        <f t="shared" ref="I7:I13" si="2">+F7*H7/G7</f>
        <v>273567.11050685513</v>
      </c>
    </row>
    <row r="8" spans="1:9" x14ac:dyDescent="0.3">
      <c r="A8" s="31" t="s">
        <v>36</v>
      </c>
      <c r="B8" s="10">
        <f>1659367.1034809*0.82112</f>
        <v>1362539.5160102365</v>
      </c>
      <c r="C8" s="66">
        <f t="shared" si="0"/>
        <v>2.0503263162738348E-2</v>
      </c>
      <c r="D8" s="11"/>
      <c r="E8" s="11">
        <v>0.05</v>
      </c>
      <c r="F8" s="10">
        <f t="shared" si="1"/>
        <v>1430666.4918107484</v>
      </c>
      <c r="G8" s="10">
        <f t="shared" ref="G8:H13" si="3">+G7</f>
        <v>111.12</v>
      </c>
      <c r="H8" s="10">
        <f t="shared" si="3"/>
        <v>90</v>
      </c>
      <c r="I8" s="10">
        <f t="shared" si="2"/>
        <v>1158747.1585940185</v>
      </c>
    </row>
    <row r="9" spans="1:9" x14ac:dyDescent="0.3">
      <c r="A9" s="31" t="s">
        <v>37</v>
      </c>
      <c r="B9" s="10">
        <f>10667347.3545473*0.82112</f>
        <v>8759172.2597658783</v>
      </c>
      <c r="C9" s="66">
        <f t="shared" si="0"/>
        <v>0.13180653611839035</v>
      </c>
      <c r="D9" s="11"/>
      <c r="E9" s="11">
        <v>0.05</v>
      </c>
      <c r="F9" s="10">
        <f t="shared" si="1"/>
        <v>9197130.8727541734</v>
      </c>
      <c r="G9" s="10">
        <f t="shared" si="3"/>
        <v>111.12</v>
      </c>
      <c r="H9" s="10">
        <f t="shared" si="3"/>
        <v>90</v>
      </c>
      <c r="I9" s="10">
        <f t="shared" si="2"/>
        <v>7449080.0805244381</v>
      </c>
    </row>
    <row r="10" spans="1:9" x14ac:dyDescent="0.3">
      <c r="A10" s="31" t="s">
        <v>38</v>
      </c>
      <c r="B10" s="10">
        <f>7978872.06024767*0.82112</f>
        <v>6551611.4261105666</v>
      </c>
      <c r="C10" s="66">
        <f t="shared" si="0"/>
        <v>9.858753572365328E-2</v>
      </c>
      <c r="D10" s="11"/>
      <c r="E10" s="11">
        <v>0.05</v>
      </c>
      <c r="F10" s="10">
        <f t="shared" si="1"/>
        <v>6879191.9974160949</v>
      </c>
      <c r="G10" s="10">
        <f t="shared" si="3"/>
        <v>111.12</v>
      </c>
      <c r="H10" s="10">
        <f t="shared" si="3"/>
        <v>90</v>
      </c>
      <c r="I10" s="10">
        <f t="shared" si="2"/>
        <v>5571699.7819244824</v>
      </c>
    </row>
    <row r="11" spans="1:9" x14ac:dyDescent="0.3">
      <c r="A11" s="31" t="s">
        <v>39</v>
      </c>
      <c r="B11" s="10">
        <f>7765659.84256455*0.82112</f>
        <v>6376538.6099266028</v>
      </c>
      <c r="C11" s="66">
        <f t="shared" si="0"/>
        <v>9.5953069727854182E-2</v>
      </c>
      <c r="D11" s="11"/>
      <c r="E11" s="11">
        <v>0.05</v>
      </c>
      <c r="F11" s="10">
        <f t="shared" si="1"/>
        <v>6695365.5404229332</v>
      </c>
      <c r="G11" s="10">
        <f t="shared" si="3"/>
        <v>111.12</v>
      </c>
      <c r="H11" s="10">
        <f t="shared" si="3"/>
        <v>90</v>
      </c>
      <c r="I11" s="10">
        <f t="shared" si="2"/>
        <v>5422812.2627615547</v>
      </c>
    </row>
    <row r="12" spans="1:9" hidden="1" x14ac:dyDescent="0.3">
      <c r="A12" s="31" t="s">
        <v>40</v>
      </c>
      <c r="B12" s="10">
        <v>0</v>
      </c>
      <c r="C12" s="66">
        <f t="shared" si="0"/>
        <v>0</v>
      </c>
      <c r="D12" s="11"/>
      <c r="E12" s="11"/>
      <c r="F12" s="10">
        <f t="shared" si="1"/>
        <v>0</v>
      </c>
      <c r="G12" s="10">
        <f t="shared" si="3"/>
        <v>111.12</v>
      </c>
      <c r="H12" s="10">
        <f t="shared" si="3"/>
        <v>90</v>
      </c>
      <c r="I12" s="10">
        <f t="shared" si="2"/>
        <v>0</v>
      </c>
    </row>
    <row r="13" spans="1:9" x14ac:dyDescent="0.3">
      <c r="A13" s="31" t="s">
        <v>41</v>
      </c>
      <c r="B13" s="10">
        <f>473055.182839492*0.82112</f>
        <v>388435.07173316367</v>
      </c>
      <c r="C13" s="66">
        <f t="shared" si="0"/>
        <v>5.8451049703885207E-3</v>
      </c>
      <c r="D13" s="11"/>
      <c r="E13" s="11">
        <v>0.05</v>
      </c>
      <c r="F13" s="10">
        <f t="shared" si="1"/>
        <v>407856.82531982189</v>
      </c>
      <c r="G13" s="10">
        <f t="shared" si="3"/>
        <v>111.12</v>
      </c>
      <c r="H13" s="10">
        <f t="shared" si="3"/>
        <v>90</v>
      </c>
      <c r="I13" s="10">
        <f t="shared" si="2"/>
        <v>330337.60150093562</v>
      </c>
    </row>
    <row r="14" spans="1:9" x14ac:dyDescent="0.3">
      <c r="A14" s="35" t="s">
        <v>42</v>
      </c>
      <c r="B14" s="15">
        <f>SUM(B6:B13)</f>
        <v>24039697.845525615</v>
      </c>
      <c r="C14" s="36">
        <f t="shared" si="0"/>
        <v>0.36174528921025639</v>
      </c>
      <c r="D14" s="15">
        <f>SUMPRODUCT($C$6:$C$13,D6:D13)</f>
        <v>0</v>
      </c>
      <c r="E14" s="15">
        <f>SUMPRODUCT($B$6:$B$13,E6:E13)</f>
        <v>1201984.8922762808</v>
      </c>
      <c r="F14" s="15">
        <f>SUM(F6:F13)</f>
        <v>25241682.737801898</v>
      </c>
      <c r="G14" s="15"/>
      <c r="H14" s="15"/>
      <c r="I14" s="15">
        <f>SUM(I6:I13)</f>
        <v>20444127.48742054</v>
      </c>
    </row>
    <row r="15" spans="1:9" x14ac:dyDescent="0.3">
      <c r="A15" s="42" t="s">
        <v>43</v>
      </c>
      <c r="B15" s="43"/>
      <c r="C15" s="44"/>
      <c r="D15" s="43"/>
      <c r="E15" s="43"/>
      <c r="F15" s="43"/>
      <c r="G15" s="43"/>
      <c r="H15" s="43"/>
      <c r="I15" s="43"/>
    </row>
    <row r="16" spans="1:9" x14ac:dyDescent="0.3">
      <c r="A16" s="31" t="s">
        <v>44</v>
      </c>
      <c r="B16" s="10">
        <f>22370030.3793227*0.82112</f>
        <v>18368479.345069453</v>
      </c>
      <c r="C16" s="12">
        <f t="shared" ref="C16:C21" si="4">+B16/$B$27</f>
        <v>0.27640575666684247</v>
      </c>
      <c r="D16" s="11"/>
      <c r="E16" s="11">
        <v>0.05</v>
      </c>
      <c r="F16" s="10">
        <f>+B16*(1+D16+E16)</f>
        <v>19286903.312322926</v>
      </c>
      <c r="G16" s="10">
        <f>+G13</f>
        <v>111.12</v>
      </c>
      <c r="H16" s="10">
        <f>+H13</f>
        <v>90</v>
      </c>
      <c r="I16" s="10">
        <f t="shared" ref="I16:I19" si="5">+F16*H16/G16</f>
        <v>15621141.991622239</v>
      </c>
    </row>
    <row r="17" spans="1:9" x14ac:dyDescent="0.3">
      <c r="A17" s="31" t="s">
        <v>45</v>
      </c>
      <c r="B17" s="10">
        <f>21437202.4017475*0.82112</f>
        <v>17602515.636122905</v>
      </c>
      <c r="C17" s="12">
        <f t="shared" si="4"/>
        <v>0.26487966489988618</v>
      </c>
      <c r="D17" s="11"/>
      <c r="E17" s="11">
        <v>0.05</v>
      </c>
      <c r="F17" s="10">
        <f>+B17*(1+D17+E17)</f>
        <v>18482641.41792905</v>
      </c>
      <c r="G17" s="10">
        <f>+G16</f>
        <v>111.12</v>
      </c>
      <c r="H17" s="10">
        <f>+H16</f>
        <v>90</v>
      </c>
      <c r="I17" s="10">
        <f t="shared" si="5"/>
        <v>14969741.969164997</v>
      </c>
    </row>
    <row r="18" spans="1:9" x14ac:dyDescent="0.3">
      <c r="A18" s="31" t="s">
        <v>46</v>
      </c>
      <c r="B18" s="10">
        <f>4216315.35632002*0.82112</f>
        <v>3462100.8653814946</v>
      </c>
      <c r="C18" s="12">
        <f t="shared" si="4"/>
        <v>5.209710566539464E-2</v>
      </c>
      <c r="D18" s="11"/>
      <c r="E18" s="11">
        <v>0.05</v>
      </c>
      <c r="F18" s="10">
        <f>+B18*(1+D18+E18)</f>
        <v>3635205.9086505696</v>
      </c>
      <c r="G18" s="10">
        <f t="shared" ref="G18:H19" si="6">+G17</f>
        <v>111.12</v>
      </c>
      <c r="H18" s="10">
        <f t="shared" si="6"/>
        <v>90</v>
      </c>
      <c r="I18" s="10">
        <f t="shared" si="5"/>
        <v>2944281.2435074807</v>
      </c>
    </row>
    <row r="19" spans="1:9" x14ac:dyDescent="0.3">
      <c r="A19" s="31" t="s">
        <v>47</v>
      </c>
      <c r="B19" s="10">
        <f>651750.301560762*0.82112</f>
        <v>535165.20761757286</v>
      </c>
      <c r="C19" s="12">
        <f t="shared" si="4"/>
        <v>8.0530751280186476E-3</v>
      </c>
      <c r="D19" s="11"/>
      <c r="E19" s="11">
        <v>0.05</v>
      </c>
      <c r="F19" s="10">
        <f>+B19*(1+D19+E19)</f>
        <v>561923.46799845155</v>
      </c>
      <c r="G19" s="10">
        <f t="shared" si="6"/>
        <v>111.12</v>
      </c>
      <c r="H19" s="10">
        <f t="shared" si="6"/>
        <v>90</v>
      </c>
      <c r="I19" s="10">
        <f t="shared" si="5"/>
        <v>455121.59935079771</v>
      </c>
    </row>
    <row r="20" spans="1:9" x14ac:dyDescent="0.3">
      <c r="A20" s="35" t="s">
        <v>48</v>
      </c>
      <c r="B20" s="15">
        <f>SUM(B16:B19)</f>
        <v>39968261.054191425</v>
      </c>
      <c r="C20" s="36">
        <f t="shared" si="4"/>
        <v>0.60143560236014193</v>
      </c>
      <c r="D20" s="15">
        <f>SUMPRODUCT($C$16:$C$19,D16:D19)</f>
        <v>0</v>
      </c>
      <c r="E20" s="15">
        <f>SUMPRODUCT($B$16:$B$19,E16:E19)</f>
        <v>1998413.0527095713</v>
      </c>
      <c r="F20" s="15">
        <f>SUM(F16:F19)</f>
        <v>41966674.106900997</v>
      </c>
      <c r="G20" s="15"/>
      <c r="H20" s="15"/>
      <c r="I20" s="15">
        <f>SUM(I16:I19)</f>
        <v>33990286.803645514</v>
      </c>
    </row>
    <row r="21" spans="1:9" x14ac:dyDescent="0.3">
      <c r="A21" s="35" t="s">
        <v>49</v>
      </c>
      <c r="B21" s="15">
        <f>B20+B14</f>
        <v>64007958.89971704</v>
      </c>
      <c r="C21" s="36">
        <f t="shared" si="4"/>
        <v>0.96318089157039832</v>
      </c>
      <c r="D21" s="15">
        <f>D20+D14</f>
        <v>0</v>
      </c>
      <c r="E21" s="15">
        <f t="shared" ref="E21:F21" si="7">E20+E14</f>
        <v>3200397.9449858521</v>
      </c>
      <c r="F21" s="15">
        <f t="shared" si="7"/>
        <v>67208356.844702899</v>
      </c>
      <c r="G21" s="15"/>
      <c r="H21" s="15"/>
      <c r="I21" s="15">
        <f>I20+I14</f>
        <v>54434414.291066051</v>
      </c>
    </row>
    <row r="22" spans="1:9" x14ac:dyDescent="0.3">
      <c r="A22" s="45" t="s">
        <v>50</v>
      </c>
      <c r="B22" s="46"/>
      <c r="C22" s="45"/>
      <c r="D22" s="45"/>
      <c r="E22" s="46"/>
      <c r="F22" s="45"/>
      <c r="G22" s="45"/>
      <c r="H22" s="45"/>
      <c r="I22" s="45"/>
    </row>
    <row r="23" spans="1:9" x14ac:dyDescent="0.3">
      <c r="A23" s="31" t="s">
        <v>51</v>
      </c>
      <c r="B23" s="10">
        <f>1311920.93168757*0.82112</f>
        <v>1077244.5154272974</v>
      </c>
      <c r="C23" s="12">
        <f>+B23/$B$27</f>
        <v>1.6210192461131156E-2</v>
      </c>
      <c r="D23" s="10">
        <v>0</v>
      </c>
      <c r="E23" s="11">
        <v>0.05</v>
      </c>
      <c r="F23" s="10">
        <f>+B23*(1+D23+E23)</f>
        <v>1131106.7411986624</v>
      </c>
      <c r="G23" s="10"/>
      <c r="H23" s="10"/>
      <c r="I23" s="10">
        <f>+F23</f>
        <v>1131106.7411986624</v>
      </c>
    </row>
    <row r="24" spans="1:9" x14ac:dyDescent="0.3">
      <c r="A24" s="31" t="s">
        <v>52</v>
      </c>
      <c r="B24" s="10">
        <f>1334517.34747167*0.82112</f>
        <v>1095798.8843559376</v>
      </c>
      <c r="C24" s="12">
        <f t="shared" ref="C24:C25" si="8">+B24/$B$27</f>
        <v>1.6489395452671834E-2</v>
      </c>
      <c r="D24" s="10">
        <v>0</v>
      </c>
      <c r="E24" s="11">
        <v>0.05</v>
      </c>
      <c r="F24" s="10">
        <f>+B24*(1+D24+E24)</f>
        <v>1150588.8285737345</v>
      </c>
      <c r="G24" s="10"/>
      <c r="H24" s="10"/>
      <c r="I24" s="10">
        <f>+F24</f>
        <v>1150588.8285737345</v>
      </c>
    </row>
    <row r="25" spans="1:9" x14ac:dyDescent="0.3">
      <c r="A25" s="31" t="s">
        <v>53</v>
      </c>
      <c r="B25" s="10">
        <f>333400.433471196*0.82112</f>
        <v>273761.76393186842</v>
      </c>
      <c r="C25" s="12">
        <f t="shared" si="8"/>
        <v>4.1195205157986631E-3</v>
      </c>
      <c r="D25" s="10">
        <v>0</v>
      </c>
      <c r="E25" s="11">
        <v>0.05</v>
      </c>
      <c r="F25" s="10">
        <f>+B25*(1+D25+E25)</f>
        <v>287449.85212846188</v>
      </c>
      <c r="G25" s="10"/>
      <c r="H25" s="10"/>
      <c r="I25" s="10">
        <f>+F25</f>
        <v>287449.85212846188</v>
      </c>
    </row>
    <row r="26" spans="1:9" x14ac:dyDescent="0.3">
      <c r="A26" s="35" t="s">
        <v>54</v>
      </c>
      <c r="B26" s="15">
        <f>SUM(B23:B25)</f>
        <v>2446805.1637151036</v>
      </c>
      <c r="C26" s="36">
        <f>+B26/$B$27</f>
        <v>3.6819108429601656E-2</v>
      </c>
      <c r="D26" s="15">
        <f>SUMPRODUCT($C$23:$C$25,D23:D25)</f>
        <v>0</v>
      </c>
      <c r="E26" s="15">
        <f>SUMPRODUCT($B$23:$B$25,E23:E25)</f>
        <v>122340.25818575517</v>
      </c>
      <c r="F26" s="15">
        <f>SUM(F23:F25)</f>
        <v>2569145.4219008591</v>
      </c>
      <c r="G26" s="15"/>
      <c r="H26" s="15"/>
      <c r="I26" s="15">
        <f>SUM(I23:I25)</f>
        <v>2569145.4219008591</v>
      </c>
    </row>
    <row r="27" spans="1:9" x14ac:dyDescent="0.3">
      <c r="A27" s="38" t="s">
        <v>55</v>
      </c>
      <c r="B27" s="33">
        <f>+B14+B26+B20</f>
        <v>66454764.063432142</v>
      </c>
      <c r="C27" s="34">
        <f>+C14+C26+C20</f>
        <v>1</v>
      </c>
      <c r="D27" s="33">
        <f>+D14+D26+D20</f>
        <v>0</v>
      </c>
      <c r="E27" s="33">
        <f>+E14+E26+E20</f>
        <v>3322738.2031716071</v>
      </c>
      <c r="F27" s="33">
        <f>+F14+F26+F20</f>
        <v>69777502.266603753</v>
      </c>
      <c r="G27" s="33"/>
      <c r="H27" s="33"/>
      <c r="I27" s="33">
        <f>+I14+I26+I20</f>
        <v>57003559.712966911</v>
      </c>
    </row>
    <row r="28" spans="1:9" x14ac:dyDescent="0.3">
      <c r="A28" s="39" t="s">
        <v>56</v>
      </c>
      <c r="B28" s="30">
        <f>B27/$G$6</f>
        <v>598045.03296825185</v>
      </c>
      <c r="C28" s="40"/>
      <c r="D28" s="11">
        <f>ROUND(+D27/$C27,4)</f>
        <v>0</v>
      </c>
      <c r="E28" s="11">
        <f>ROUND(+E27/$B27,4)</f>
        <v>0.05</v>
      </c>
      <c r="F28" s="30">
        <f>F27/$G$6</f>
        <v>627947.2846166644</v>
      </c>
      <c r="G28" s="30"/>
      <c r="H28" s="30"/>
      <c r="I28" s="30">
        <f>I27/$H$6</f>
        <v>633372.88569963234</v>
      </c>
    </row>
    <row r="29" spans="1:9" x14ac:dyDescent="0.3">
      <c r="A29" s="42" t="s">
        <v>81</v>
      </c>
      <c r="B29" s="43"/>
      <c r="C29" s="44"/>
      <c r="D29" s="43"/>
      <c r="E29" s="43"/>
      <c r="F29" s="43"/>
      <c r="G29" s="43"/>
      <c r="H29" s="43"/>
      <c r="I29" s="43"/>
    </row>
    <row r="30" spans="1:9" x14ac:dyDescent="0.3">
      <c r="A30" s="14" t="s">
        <v>57</v>
      </c>
      <c r="B30" s="15">
        <f>SUM(B6:B13)</f>
        <v>24039697.845525615</v>
      </c>
      <c r="C30" s="17">
        <f>+B30/$B$39</f>
        <v>0.29442252687041326</v>
      </c>
      <c r="D30" s="15">
        <f>+D14</f>
        <v>0</v>
      </c>
      <c r="E30" s="18">
        <f>+E14</f>
        <v>1201984.8922762808</v>
      </c>
      <c r="F30" s="15">
        <f>+B30+D30+E30</f>
        <v>25241682.737801895</v>
      </c>
      <c r="G30" s="15"/>
      <c r="H30" s="15"/>
      <c r="I30" s="15">
        <f>+I14</f>
        <v>20444127.48742054</v>
      </c>
    </row>
    <row r="31" spans="1:9" x14ac:dyDescent="0.3">
      <c r="A31" s="14" t="s">
        <v>58</v>
      </c>
      <c r="B31" s="15">
        <f>SUM(B16:B19)</f>
        <v>39968261.054191425</v>
      </c>
      <c r="C31" s="17">
        <f>+B31/$B$39</f>
        <v>0.48950517139638683</v>
      </c>
      <c r="D31" s="15">
        <f>+D20</f>
        <v>0</v>
      </c>
      <c r="E31" s="18">
        <f>+E20</f>
        <v>1998413.0527095713</v>
      </c>
      <c r="F31" s="15">
        <f>+B31+D31+E31</f>
        <v>41966674.106900997</v>
      </c>
      <c r="G31" s="15"/>
      <c r="H31" s="15"/>
      <c r="I31" s="15">
        <f>+I20</f>
        <v>33990286.803645514</v>
      </c>
    </row>
    <row r="32" spans="1:9" x14ac:dyDescent="0.3">
      <c r="A32" s="14" t="s">
        <v>59</v>
      </c>
      <c r="B32" s="15">
        <f>SUM(B23:B25)</f>
        <v>2446805.1637151036</v>
      </c>
      <c r="C32" s="17">
        <f>+B32/$B$39</f>
        <v>2.9966872449466306E-2</v>
      </c>
      <c r="D32" s="15">
        <f>+D26</f>
        <v>0</v>
      </c>
      <c r="E32" s="18">
        <f>+E26</f>
        <v>122340.25818575517</v>
      </c>
      <c r="F32" s="15">
        <f>+B32+D32+E32</f>
        <v>2569145.4219008586</v>
      </c>
      <c r="G32" s="15"/>
      <c r="H32" s="15"/>
      <c r="I32" s="15">
        <f>+I26</f>
        <v>2569145.4219008591</v>
      </c>
    </row>
    <row r="33" spans="1:9" x14ac:dyDescent="0.3">
      <c r="A33" s="35" t="s">
        <v>60</v>
      </c>
      <c r="B33" s="15">
        <f>SUM(B30:B32)</f>
        <v>66454764.063432142</v>
      </c>
      <c r="C33" s="41">
        <f>SUM(C30:C32)</f>
        <v>0.81389457071626636</v>
      </c>
      <c r="D33" s="15">
        <f>SUM(D30:D32)</f>
        <v>0</v>
      </c>
      <c r="E33" s="15">
        <f>SUM(E30:E32)</f>
        <v>3322738.2031716071</v>
      </c>
      <c r="F33" s="15">
        <f>SUM(F30:F32)</f>
        <v>69777502.266603753</v>
      </c>
      <c r="G33" s="15"/>
      <c r="H33" s="15"/>
      <c r="I33" s="15">
        <f>SUM(I30:I32)</f>
        <v>57003559.712966911</v>
      </c>
    </row>
    <row r="34" spans="1:9" x14ac:dyDescent="0.3">
      <c r="A34" s="42" t="s">
        <v>61</v>
      </c>
      <c r="B34" s="47"/>
      <c r="C34" s="44"/>
      <c r="D34" s="43"/>
      <c r="E34" s="43"/>
      <c r="F34" s="47"/>
      <c r="G34" s="47"/>
      <c r="H34" s="47"/>
      <c r="I34" s="47"/>
    </row>
    <row r="35" spans="1:9" x14ac:dyDescent="0.3">
      <c r="A35" s="31" t="s">
        <v>62</v>
      </c>
      <c r="B35" s="10">
        <f>(+$B$33*C35)*0.82112</f>
        <v>4365386.8694212325</v>
      </c>
      <c r="C35" s="19">
        <v>0.08</v>
      </c>
      <c r="D35" s="10">
        <v>0</v>
      </c>
      <c r="E35" s="11">
        <v>0.05</v>
      </c>
      <c r="F35" s="10">
        <f>+B35*(1+D35+E35)</f>
        <v>4583656.2128922939</v>
      </c>
      <c r="G35" s="10"/>
      <c r="H35" s="10"/>
      <c r="I35" s="10">
        <f>+F35</f>
        <v>4583656.2128922939</v>
      </c>
    </row>
    <row r="36" spans="1:9" x14ac:dyDescent="0.3">
      <c r="A36" s="31" t="s">
        <v>63</v>
      </c>
      <c r="B36" s="10">
        <f>(+$B$31*C36)*0.82112</f>
        <v>1969124.3110090594</v>
      </c>
      <c r="C36" s="19">
        <v>0.06</v>
      </c>
      <c r="D36" s="10">
        <v>0</v>
      </c>
      <c r="E36" s="11">
        <v>0.05</v>
      </c>
      <c r="F36" s="10">
        <f>+B36*(1+D36+E36)</f>
        <v>2067580.5265595126</v>
      </c>
      <c r="G36" s="10"/>
      <c r="H36" s="10"/>
      <c r="I36" s="10">
        <f t="shared" ref="I36:I37" si="9">+F36</f>
        <v>2067580.5265595126</v>
      </c>
    </row>
    <row r="37" spans="1:9" x14ac:dyDescent="0.3">
      <c r="A37" s="31" t="s">
        <v>64</v>
      </c>
      <c r="B37" s="10">
        <f>(+$B$31*C37)*0.82112</f>
        <v>8861059.3995407689</v>
      </c>
      <c r="C37" s="19">
        <v>0.27</v>
      </c>
      <c r="D37" s="10">
        <v>0</v>
      </c>
      <c r="E37" s="11">
        <v>0.05</v>
      </c>
      <c r="F37" s="10">
        <f>+B37*(1+D37+E37)</f>
        <v>9304112.3695178069</v>
      </c>
      <c r="G37" s="10"/>
      <c r="H37" s="10"/>
      <c r="I37" s="10">
        <f t="shared" si="9"/>
        <v>9304112.3695178069</v>
      </c>
    </row>
    <row r="38" spans="1:9" x14ac:dyDescent="0.3">
      <c r="A38" s="35" t="s">
        <v>65</v>
      </c>
      <c r="B38" s="15">
        <f>SUM(B35:B37)</f>
        <v>15195570.57997106</v>
      </c>
      <c r="C38" s="41">
        <f>+B38/$B$39</f>
        <v>0.18610542928373361</v>
      </c>
      <c r="D38" s="15">
        <f>SUMPRODUCT($C$35:$C$37,D35:D37)</f>
        <v>0</v>
      </c>
      <c r="E38" s="15">
        <f>SUMPRODUCT($B$35:$B$37,E35:E37)</f>
        <v>759778.52899855305</v>
      </c>
      <c r="F38" s="15">
        <f>SUM(F35:F37)</f>
        <v>15955349.108969614</v>
      </c>
      <c r="G38" s="15"/>
      <c r="H38" s="15"/>
      <c r="I38" s="15">
        <f>SUM(I35:I37)</f>
        <v>15955349.108969614</v>
      </c>
    </row>
    <row r="39" spans="1:9" x14ac:dyDescent="0.3">
      <c r="A39" s="32" t="s">
        <v>66</v>
      </c>
      <c r="B39" s="33">
        <f>+B33+B38</f>
        <v>81650334.643403202</v>
      </c>
      <c r="C39" s="17">
        <f>+B39/B39</f>
        <v>1</v>
      </c>
      <c r="D39" s="33">
        <f>+D33+D38</f>
        <v>0</v>
      </c>
      <c r="E39" s="33">
        <f>+E33+E38</f>
        <v>4082516.7321701599</v>
      </c>
      <c r="F39" s="33">
        <f>+F33+F38</f>
        <v>85732851.375573367</v>
      </c>
      <c r="G39" s="33"/>
      <c r="H39" s="33"/>
      <c r="I39" s="73">
        <f>+I33+I38</f>
        <v>72958908.821936518</v>
      </c>
    </row>
    <row r="40" spans="1:9" hidden="1" x14ac:dyDescent="0.3">
      <c r="A40" s="13" t="s">
        <v>80</v>
      </c>
      <c r="B40" s="22"/>
      <c r="C40" s="23"/>
      <c r="D40" s="22"/>
      <c r="E40" s="22"/>
      <c r="F40" s="24"/>
      <c r="G40" s="9"/>
      <c r="H40" s="9"/>
    </row>
    <row r="41" spans="1:9" hidden="1" x14ac:dyDescent="0.3">
      <c r="A41" s="14" t="s">
        <v>67</v>
      </c>
      <c r="B41" s="16"/>
      <c r="C41" s="17"/>
      <c r="D41" s="17"/>
      <c r="E41" s="15"/>
      <c r="F41" s="15"/>
      <c r="G41" s="9"/>
      <c r="H41" s="9"/>
    </row>
    <row r="42" spans="1:9" hidden="1" x14ac:dyDescent="0.3">
      <c r="A42" s="14" t="s">
        <v>68</v>
      </c>
      <c r="B42" s="16"/>
      <c r="C42" s="17"/>
      <c r="D42" s="17"/>
      <c r="E42" s="15"/>
      <c r="F42" s="15"/>
      <c r="G42" s="9"/>
      <c r="H42" s="9"/>
    </row>
    <row r="43" spans="1:9" hidden="1" x14ac:dyDescent="0.3">
      <c r="A43" s="14" t="s">
        <v>69</v>
      </c>
      <c r="B43" s="16"/>
      <c r="C43" s="17"/>
      <c r="D43" s="17"/>
      <c r="E43" s="15"/>
      <c r="F43" s="15"/>
      <c r="G43" s="9"/>
      <c r="H43" s="9"/>
    </row>
    <row r="44" spans="1:9" hidden="1" x14ac:dyDescent="0.3">
      <c r="A44" s="14" t="s">
        <v>70</v>
      </c>
      <c r="B44" s="16"/>
      <c r="C44" s="17"/>
      <c r="D44" s="17"/>
      <c r="E44" s="15"/>
      <c r="F44" s="15"/>
      <c r="G44" s="9"/>
      <c r="H44" s="9"/>
    </row>
    <row r="45" spans="1:9" hidden="1" x14ac:dyDescent="0.3">
      <c r="A45" s="14" t="s">
        <v>71</v>
      </c>
      <c r="B45" s="16"/>
      <c r="C45" s="17"/>
      <c r="D45" s="17"/>
      <c r="E45" s="15"/>
      <c r="F45" s="15"/>
      <c r="G45" s="9"/>
      <c r="H45" s="9"/>
    </row>
    <row r="46" spans="1:9" hidden="1" x14ac:dyDescent="0.3">
      <c r="A46" s="14" t="s">
        <v>72</v>
      </c>
      <c r="B46" s="16"/>
      <c r="C46" s="17"/>
      <c r="D46" s="17"/>
      <c r="E46" s="15"/>
      <c r="F46" s="15"/>
      <c r="G46" s="9"/>
      <c r="H46" s="9"/>
    </row>
    <row r="47" spans="1:9" hidden="1" x14ac:dyDescent="0.3">
      <c r="A47" s="14" t="s">
        <v>73</v>
      </c>
      <c r="B47" s="16"/>
      <c r="C47" s="17"/>
      <c r="D47" s="17"/>
      <c r="E47" s="15"/>
      <c r="F47" s="15"/>
      <c r="G47" s="9"/>
      <c r="H47" s="9"/>
    </row>
    <row r="48" spans="1:9" hidden="1" x14ac:dyDescent="0.3">
      <c r="A48" s="14" t="s">
        <v>74</v>
      </c>
      <c r="B48" s="16"/>
      <c r="C48" s="17"/>
      <c r="D48" s="17"/>
      <c r="E48" s="15"/>
      <c r="F48" s="15"/>
      <c r="G48" s="9"/>
      <c r="H48" s="9"/>
    </row>
    <row r="49" spans="1:8" hidden="1" x14ac:dyDescent="0.3">
      <c r="A49" s="25" t="s">
        <v>75</v>
      </c>
      <c r="B49" s="20">
        <f>SUM(B41:B48)</f>
        <v>0</v>
      </c>
      <c r="C49" s="21"/>
      <c r="D49" s="20">
        <f>SUM(D41:D48)</f>
        <v>0</v>
      </c>
      <c r="E49" s="20">
        <f>SUM(E41:E43)</f>
        <v>0</v>
      </c>
      <c r="F49" s="20">
        <f>SUM(F41:F43)</f>
        <v>0</v>
      </c>
      <c r="G49" s="9"/>
      <c r="H49" s="9"/>
    </row>
    <row r="50" spans="1:8" hidden="1" x14ac:dyDescent="0.3">
      <c r="A50" s="25" t="s">
        <v>76</v>
      </c>
      <c r="B50" s="20">
        <f>+B33+B38+B49</f>
        <v>81650334.643403202</v>
      </c>
      <c r="C50" s="26"/>
      <c r="D50" s="26"/>
      <c r="E50" s="20">
        <f>+E33+E38+E49</f>
        <v>4082516.7321701599</v>
      </c>
      <c r="F50" s="20">
        <f>+F33+F38+F49</f>
        <v>85732851.375573367</v>
      </c>
      <c r="G50" s="9"/>
      <c r="H50" s="9"/>
    </row>
    <row r="51" spans="1:8" x14ac:dyDescent="0.3">
      <c r="A51" s="9"/>
      <c r="B51" s="9"/>
      <c r="C51" s="9"/>
      <c r="D51" s="9"/>
      <c r="E51" s="9"/>
      <c r="F51" s="9"/>
      <c r="G51" s="9"/>
      <c r="H51" s="9"/>
    </row>
    <row r="52" spans="1:8" x14ac:dyDescent="0.3">
      <c r="A52" s="27" t="s">
        <v>77</v>
      </c>
      <c r="B52" s="9"/>
      <c r="C52" s="9"/>
      <c r="D52" s="9"/>
      <c r="E52" s="9"/>
      <c r="F52" s="28"/>
      <c r="G52" s="9"/>
      <c r="H52" s="9"/>
    </row>
  </sheetData>
  <mergeCells count="2">
    <mergeCell ref="B3:G3"/>
    <mergeCell ref="H3:I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9B703-B956-4833-97E8-F3C3457C32A4}">
  <dimension ref="A1:I21"/>
  <sheetViews>
    <sheetView showGridLines="0" topLeftCell="A13" zoomScale="150" zoomScaleNormal="150" workbookViewId="0">
      <selection activeCell="D18" sqref="D18"/>
    </sheetView>
  </sheetViews>
  <sheetFormatPr baseColWidth="10" defaultColWidth="11.453125" defaultRowHeight="13" x14ac:dyDescent="0.3"/>
  <cols>
    <col min="1" max="1" width="9.81640625" style="3" customWidth="1"/>
    <col min="2" max="2" width="11.36328125" style="3" customWidth="1"/>
    <col min="3" max="8" width="11.453125" style="3"/>
    <col min="9" max="9" width="14.81640625" style="3" bestFit="1" customWidth="1"/>
    <col min="10" max="16384" width="11.453125" style="3"/>
  </cols>
  <sheetData>
    <row r="1" spans="1:9" x14ac:dyDescent="0.3">
      <c r="A1" s="48" t="s">
        <v>12</v>
      </c>
    </row>
    <row r="2" spans="1:9" ht="26" x14ac:dyDescent="0.3">
      <c r="A2" s="49" t="s">
        <v>7</v>
      </c>
      <c r="B2" s="49" t="s">
        <v>8</v>
      </c>
      <c r="C2" s="49" t="s">
        <v>9</v>
      </c>
      <c r="D2" s="49" t="s">
        <v>10</v>
      </c>
      <c r="E2" s="49" t="s">
        <v>11</v>
      </c>
    </row>
    <row r="3" spans="1:9" x14ac:dyDescent="0.3">
      <c r="A3" s="50">
        <v>17</v>
      </c>
      <c r="B3" s="50">
        <v>0</v>
      </c>
      <c r="C3" s="50">
        <v>14</v>
      </c>
      <c r="D3" s="50">
        <v>0</v>
      </c>
      <c r="E3" s="50">
        <v>31</v>
      </c>
    </row>
    <row r="5" spans="1:9" x14ac:dyDescent="0.3">
      <c r="A5" s="54" t="s">
        <v>21</v>
      </c>
      <c r="B5" s="64">
        <v>44767</v>
      </c>
    </row>
    <row r="6" spans="1:9" x14ac:dyDescent="0.3">
      <c r="A6" s="54" t="s">
        <v>22</v>
      </c>
      <c r="B6" s="6">
        <v>952.43</v>
      </c>
    </row>
    <row r="7" spans="1:9" x14ac:dyDescent="0.3">
      <c r="A7" s="54" t="s">
        <v>23</v>
      </c>
      <c r="B7" s="63">
        <v>33359.360000000001</v>
      </c>
    </row>
    <row r="9" spans="1:9" x14ac:dyDescent="0.3">
      <c r="A9" s="1" t="s">
        <v>24</v>
      </c>
      <c r="B9" s="1"/>
      <c r="C9" s="1"/>
      <c r="D9" s="2"/>
      <c r="E9" s="1"/>
    </row>
    <row r="10" spans="1:9" ht="39" x14ac:dyDescent="0.3">
      <c r="A10" s="49" t="s">
        <v>25</v>
      </c>
      <c r="B10" s="49" t="s">
        <v>13</v>
      </c>
      <c r="C10" s="49" t="s">
        <v>14</v>
      </c>
      <c r="D10" s="55" t="s">
        <v>15</v>
      </c>
      <c r="E10" s="49" t="s">
        <v>16</v>
      </c>
      <c r="F10" s="49" t="s">
        <v>17</v>
      </c>
      <c r="G10" s="49" t="s">
        <v>18</v>
      </c>
      <c r="H10" s="49" t="s">
        <v>19</v>
      </c>
      <c r="I10" s="56" t="s">
        <v>20</v>
      </c>
    </row>
    <row r="11" spans="1:9" x14ac:dyDescent="0.3">
      <c r="A11" s="57">
        <v>1</v>
      </c>
      <c r="B11" s="51">
        <v>4500</v>
      </c>
      <c r="C11" s="51">
        <f>B11*10000</f>
        <v>45000000</v>
      </c>
      <c r="D11" s="52">
        <v>7.9921956952600004</v>
      </c>
      <c r="E11" s="53">
        <f>D11*1000</f>
        <v>7992.1956952600003</v>
      </c>
      <c r="F11" s="54">
        <v>65</v>
      </c>
      <c r="G11" s="53">
        <f>F11*E11</f>
        <v>519492.72019190004</v>
      </c>
      <c r="H11" s="53">
        <f>G11/10000</f>
        <v>51.949272019190005</v>
      </c>
      <c r="I11" s="51">
        <f>H11*C11</f>
        <v>2337717240.8635502</v>
      </c>
    </row>
    <row r="12" spans="1:9" x14ac:dyDescent="0.3">
      <c r="A12" s="57">
        <v>2</v>
      </c>
      <c r="B12" s="51">
        <v>7500</v>
      </c>
      <c r="C12" s="51">
        <f t="shared" ref="C12:C18" si="0">B12*10000</f>
        <v>75000000</v>
      </c>
      <c r="D12" s="52">
        <v>2.5217448561000002</v>
      </c>
      <c r="E12" s="53">
        <f t="shared" ref="E12:E17" si="1">D12*1000</f>
        <v>2521.7448561000001</v>
      </c>
      <c r="F12" s="54">
        <v>65</v>
      </c>
      <c r="G12" s="53">
        <f t="shared" ref="G12:G18" si="2">F12*E12</f>
        <v>163913.41564650001</v>
      </c>
      <c r="H12" s="53">
        <f t="shared" ref="H12:H18" si="3">G12/10000</f>
        <v>16.391341564650002</v>
      </c>
      <c r="I12" s="51">
        <f t="shared" ref="I12:I18" si="4">H12*C12</f>
        <v>1229350617.3487501</v>
      </c>
    </row>
    <row r="13" spans="1:9" x14ac:dyDescent="0.3">
      <c r="A13" s="57">
        <v>3</v>
      </c>
      <c r="B13" s="51">
        <v>3500</v>
      </c>
      <c r="C13" s="51">
        <f t="shared" si="0"/>
        <v>35000000</v>
      </c>
      <c r="D13" s="52">
        <v>4.7129189818499997</v>
      </c>
      <c r="E13" s="53">
        <f t="shared" si="1"/>
        <v>4712.9189818499999</v>
      </c>
      <c r="F13" s="54">
        <v>65</v>
      </c>
      <c r="G13" s="53">
        <f t="shared" si="2"/>
        <v>306339.73382024997</v>
      </c>
      <c r="H13" s="53">
        <f t="shared" si="3"/>
        <v>30.633973382024998</v>
      </c>
      <c r="I13" s="51">
        <f t="shared" si="4"/>
        <v>1072189068.3708749</v>
      </c>
    </row>
    <row r="14" spans="1:9" x14ac:dyDescent="0.3">
      <c r="A14" s="57">
        <v>4</v>
      </c>
      <c r="B14" s="51">
        <v>8000</v>
      </c>
      <c r="C14" s="51">
        <f t="shared" si="0"/>
        <v>80000000</v>
      </c>
      <c r="D14" s="52">
        <v>0.85032320593099997</v>
      </c>
      <c r="E14" s="53">
        <f t="shared" si="1"/>
        <v>850.32320593099996</v>
      </c>
      <c r="F14" s="54">
        <v>65</v>
      </c>
      <c r="G14" s="53">
        <f t="shared" si="2"/>
        <v>55271.008385515001</v>
      </c>
      <c r="H14" s="53">
        <f t="shared" si="3"/>
        <v>5.5271008385515001</v>
      </c>
      <c r="I14" s="51">
        <f t="shared" si="4"/>
        <v>442168067.08412004</v>
      </c>
    </row>
    <row r="15" spans="1:9" x14ac:dyDescent="0.3">
      <c r="A15" s="57">
        <v>8</v>
      </c>
      <c r="B15" s="51">
        <v>3000</v>
      </c>
      <c r="C15" s="51">
        <f t="shared" si="0"/>
        <v>30000000</v>
      </c>
      <c r="D15" s="52">
        <v>26.138858615699998</v>
      </c>
      <c r="E15" s="53">
        <f t="shared" si="1"/>
        <v>26138.858615699999</v>
      </c>
      <c r="F15" s="54">
        <v>65</v>
      </c>
      <c r="G15" s="53">
        <f t="shared" si="2"/>
        <v>1699025.8100204999</v>
      </c>
      <c r="H15" s="53">
        <f t="shared" si="3"/>
        <v>169.90258100205</v>
      </c>
      <c r="I15" s="51">
        <f t="shared" si="4"/>
        <v>5097077430.0614996</v>
      </c>
    </row>
    <row r="16" spans="1:9" x14ac:dyDescent="0.3">
      <c r="A16" s="57">
        <v>9</v>
      </c>
      <c r="B16" s="51">
        <v>3500</v>
      </c>
      <c r="C16" s="51">
        <f t="shared" si="0"/>
        <v>35000000</v>
      </c>
      <c r="D16" s="52">
        <v>7.87537209087</v>
      </c>
      <c r="E16" s="53">
        <f t="shared" si="1"/>
        <v>7875.3720908699997</v>
      </c>
      <c r="F16" s="54">
        <v>65</v>
      </c>
      <c r="G16" s="53">
        <f t="shared" si="2"/>
        <v>511899.18590654997</v>
      </c>
      <c r="H16" s="53">
        <f t="shared" si="3"/>
        <v>51.189918590654997</v>
      </c>
      <c r="I16" s="51">
        <f t="shared" si="4"/>
        <v>1791647150.672925</v>
      </c>
    </row>
    <row r="17" spans="1:9" x14ac:dyDescent="0.3">
      <c r="A17" s="57">
        <v>8</v>
      </c>
      <c r="B17" s="51">
        <v>3000</v>
      </c>
      <c r="C17" s="51">
        <f t="shared" si="0"/>
        <v>30000000</v>
      </c>
      <c r="D17" s="52">
        <f>26.5514186535</f>
        <v>26.551418653500001</v>
      </c>
      <c r="E17" s="53">
        <f t="shared" si="1"/>
        <v>26551.418653500001</v>
      </c>
      <c r="F17" s="54">
        <v>65</v>
      </c>
      <c r="G17" s="53">
        <f t="shared" si="2"/>
        <v>1725842.2124775001</v>
      </c>
      <c r="H17" s="53">
        <f t="shared" si="3"/>
        <v>172.58422124775001</v>
      </c>
      <c r="I17" s="51">
        <f t="shared" si="4"/>
        <v>5177526637.4324999</v>
      </c>
    </row>
    <row r="18" spans="1:9" x14ac:dyDescent="0.3">
      <c r="A18" s="57">
        <v>13</v>
      </c>
      <c r="B18" s="51">
        <v>4000</v>
      </c>
      <c r="C18" s="51">
        <f t="shared" si="0"/>
        <v>40000000</v>
      </c>
      <c r="D18" s="52">
        <f>6.79578555448+9.16</f>
        <v>15.95578555448</v>
      </c>
      <c r="E18" s="53">
        <f>D18*1000</f>
        <v>15955.78555448</v>
      </c>
      <c r="F18" s="54">
        <v>65</v>
      </c>
      <c r="G18" s="53">
        <f t="shared" si="2"/>
        <v>1037126.0610412001</v>
      </c>
      <c r="H18" s="53">
        <f t="shared" si="3"/>
        <v>103.71260610412001</v>
      </c>
      <c r="I18" s="51">
        <f t="shared" si="4"/>
        <v>4148504244.1648006</v>
      </c>
    </row>
    <row r="19" spans="1:9" x14ac:dyDescent="0.3">
      <c r="A19" s="58" t="s">
        <v>11</v>
      </c>
      <c r="B19" s="58">
        <f>I19/G19</f>
        <v>3538.2120573572993</v>
      </c>
      <c r="C19" s="58">
        <f>I19/H19</f>
        <v>35382120.573572986</v>
      </c>
      <c r="D19" s="59">
        <f>SUM(D11:D18)</f>
        <v>92.598617653691008</v>
      </c>
      <c r="E19" s="59">
        <f>SUM(E11:E18)</f>
        <v>92598.617653690992</v>
      </c>
      <c r="F19" s="59">
        <v>65</v>
      </c>
      <c r="G19" s="60">
        <f>SUM(G11:G18)</f>
        <v>6018910.1474899147</v>
      </c>
      <c r="H19" s="61">
        <f>SUM(H11:H18)</f>
        <v>601.89101474899155</v>
      </c>
      <c r="I19" s="58">
        <f>SUM(I11:I18)</f>
        <v>21296180455.999016</v>
      </c>
    </row>
    <row r="20" spans="1:9" x14ac:dyDescent="0.3">
      <c r="H20" s="65" t="s">
        <v>22</v>
      </c>
      <c r="I20" s="58">
        <f>I19/B6</f>
        <v>22359837.947144691</v>
      </c>
    </row>
    <row r="21" spans="1:9" x14ac:dyDescent="0.3">
      <c r="D21" s="80"/>
      <c r="H21" s="65" t="s">
        <v>23</v>
      </c>
      <c r="I21" s="62">
        <f>I19/B7</f>
        <v>638386.96114071179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8d23c721-c0f1-46c6-9e08-26ede825a1e8">
      <UserInfo>
        <DisplayName/>
        <AccountId xsi:nil="true"/>
        <AccountType/>
      </UserInfo>
    </SharedWithUsers>
    <lcf76f155ced4ddcb4097134ff3c332f xmlns="7fcc16c7-77aa-4b2d-a690-2cced8490564">
      <Terms xmlns="http://schemas.microsoft.com/office/infopath/2007/PartnerControls"/>
    </lcf76f155ced4ddcb4097134ff3c332f>
    <TaxCatchAll xmlns="8d23c721-c0f1-46c6-9e08-26ede825a1e8" xsi:nil="true"/>
    <MediaLengthInSeconds xmlns="7fcc16c7-77aa-4b2d-a690-2cced849056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9F09BB187931C498856A48C6377F517" ma:contentTypeVersion="16" ma:contentTypeDescription="Crear nuevo documento." ma:contentTypeScope="" ma:versionID="79c4080de9a28c76b76684c8a7fab225">
  <xsd:schema xmlns:xsd="http://www.w3.org/2001/XMLSchema" xmlns:xs="http://www.w3.org/2001/XMLSchema" xmlns:p="http://schemas.microsoft.com/office/2006/metadata/properties" xmlns:ns2="7fcc16c7-77aa-4b2d-a690-2cced8490564" xmlns:ns3="8d23c721-c0f1-46c6-9e08-26ede825a1e8" targetNamespace="http://schemas.microsoft.com/office/2006/metadata/properties" ma:root="true" ma:fieldsID="4d58328f3a1d0a764c5ac2e858d900bf" ns2:_="" ns3:_="">
    <xsd:import namespace="7fcc16c7-77aa-4b2d-a690-2cced8490564"/>
    <xsd:import namespace="8d23c721-c0f1-46c6-9e08-26ede825a1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cc16c7-77aa-4b2d-a690-2cced8490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3c6228b1-e9fb-4687-ab0c-800c334911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23c721-c0f1-46c6-9e08-26ede825a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0046ff41-8295-4a3e-bf9a-4529202729e6}" ma:internalName="TaxCatchAll" ma:showField="CatchAllData" ma:web="8d23c721-c0f1-46c6-9e08-26ede825a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92076D-2BA9-4F82-8CEA-D66EC590C5FB}">
  <ds:schemaRefs>
    <ds:schemaRef ds:uri="http://schemas.microsoft.com/office/2006/metadata/properties"/>
    <ds:schemaRef ds:uri="http://schemas.microsoft.com/office/infopath/2007/PartnerControls"/>
    <ds:schemaRef ds:uri="8d23c721-c0f1-46c6-9e08-26ede825a1e8"/>
    <ds:schemaRef ds:uri="7fcc16c7-77aa-4b2d-a690-2cced8490564"/>
  </ds:schemaRefs>
</ds:datastoreItem>
</file>

<file path=customXml/itemProps2.xml><?xml version="1.0" encoding="utf-8"?>
<ds:datastoreItem xmlns:ds="http://schemas.openxmlformats.org/officeDocument/2006/customXml" ds:itemID="{E38B6945-5E56-4D6C-A3CF-1297A76AA8B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21D1411-3FC6-4158-88C2-F0EFF4A652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cc16c7-77aa-4b2d-a690-2cced8490564"/>
    <ds:schemaRef ds:uri="8d23c721-c0f1-46c6-9e08-26ede825a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Resumen</vt:lpstr>
      <vt:lpstr>Costo construcción</vt:lpstr>
      <vt:lpstr>Costo Indem. Servidumbre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Javiera Correa Neira</dc:creator>
  <cp:lastModifiedBy>Gabriel Soublette Castro</cp:lastModifiedBy>
  <dcterms:created xsi:type="dcterms:W3CDTF">2025-03-14T14:09:04Z</dcterms:created>
  <dcterms:modified xsi:type="dcterms:W3CDTF">2025-10-17T16:31:00Z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0x01010069F09BB187931C498856A48C6377F517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Order">
    <vt:r8>4122900</vt:r8>
  </property>
  <property fmtid="{D5CDD505-2E9C-101B-9397-08002B2CF9AE}" pid="8" name="xd_Signature">
    <vt:bool>false</vt:bool>
  </property>
  <property fmtid="{D5CDD505-2E9C-101B-9397-08002B2CF9AE}" pid="9" name="xd_ProgID">
    <vt:lpwstr/>
  </property>
  <property fmtid="{D5CDD505-2E9C-101B-9397-08002B2CF9AE}" pid="10" name="_SourceUrl">
    <vt:lpwstr/>
  </property>
  <property fmtid="{D5CDD505-2E9C-101B-9397-08002B2CF9AE}" pid="11" name="_SharedFileIndex">
    <vt:lpwstr/>
  </property>
  <property fmtid="{D5CDD505-2E9C-101B-9397-08002B2CF9AE}" pid="12" name="TemplateUrl">
    <vt:lpwstr/>
  </property>
</Properties>
</file>